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U_vanalar el kitabı\kontrollu - redaksiyon dosyalar\kitap excel linkleri\"/>
    </mc:Choice>
  </mc:AlternateContent>
  <xr:revisionPtr revIDLastSave="0" documentId="8_{7BA49F01-FFED-4374-9330-8525CC95EE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ingham Plastic" sheetId="4" r:id="rId1"/>
  </sheets>
  <definedNames>
    <definedName name="_xlnm.Print_Area" localSheetId="0">'Bingham Plastic'!$A$1:$J$33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H16" i="4" s="1"/>
  <c r="H19" i="4"/>
  <c r="H18" i="4"/>
  <c r="E23" i="4"/>
  <c r="H23" i="4" s="1"/>
  <c r="E26" i="4"/>
  <c r="D36" i="4" s="1"/>
  <c r="C53" i="4" s="1"/>
  <c r="H17" i="4"/>
  <c r="H13" i="4"/>
  <c r="H12" i="4"/>
  <c r="H11" i="4"/>
  <c r="H26" i="4" l="1"/>
  <c r="E22" i="4"/>
  <c r="E24" i="4" l="1"/>
  <c r="E25" i="4" s="1"/>
  <c r="D35" i="4" s="1"/>
  <c r="E54" i="4" s="1"/>
  <c r="H22" i="4"/>
  <c r="C58" i="4" l="1"/>
  <c r="D39" i="4"/>
  <c r="C41" i="4" s="1"/>
  <c r="D41" i="4" s="1"/>
  <c r="E41" i="4" s="1"/>
  <c r="F41" i="4" s="1"/>
  <c r="G41" i="4" s="1"/>
  <c r="H41" i="4" s="1"/>
  <c r="I41" i="4" s="1"/>
  <c r="J41" i="4" s="1"/>
  <c r="C44" i="4" s="1"/>
  <c r="D44" i="4" s="1"/>
  <c r="E44" i="4" s="1"/>
  <c r="F44" i="4" s="1"/>
  <c r="G44" i="4" s="1"/>
  <c r="H44" i="4" s="1"/>
  <c r="I44" i="4" s="1"/>
  <c r="J44" i="4" s="1"/>
  <c r="C47" i="4" s="1"/>
  <c r="D47" i="4" s="1"/>
  <c r="E47" i="4" s="1"/>
  <c r="F47" i="4" s="1"/>
  <c r="G47" i="4" s="1"/>
  <c r="H47" i="4" s="1"/>
  <c r="I47" i="4" s="1"/>
  <c r="H25" i="4"/>
  <c r="H24" i="4"/>
  <c r="J47" i="4" l="1"/>
  <c r="E49" i="4" s="1"/>
  <c r="C59" i="4" l="1"/>
  <c r="E27" i="4" s="1"/>
  <c r="E28" i="4" l="1"/>
  <c r="E29" i="4" s="1"/>
  <c r="E30" i="4" s="1"/>
  <c r="H30" i="4" s="1"/>
  <c r="H27" i="4"/>
  <c r="H28" i="4" l="1"/>
  <c r="H29" i="4"/>
</calcChain>
</file>

<file path=xl/sharedStrings.xml><?xml version="1.0" encoding="utf-8"?>
<sst xmlns="http://schemas.openxmlformats.org/spreadsheetml/2006/main" count="73" uniqueCount="66">
  <si>
    <t>Line Number</t>
  </si>
  <si>
    <t>P-10001</t>
  </si>
  <si>
    <t>Description</t>
  </si>
  <si>
    <t>Feed Pipe</t>
  </si>
  <si>
    <t>Date</t>
  </si>
  <si>
    <t xml:space="preserve">User Input </t>
  </si>
  <si>
    <t>By</t>
  </si>
  <si>
    <t>Metric</t>
  </si>
  <si>
    <t xml:space="preserve">English </t>
  </si>
  <si>
    <t>Pipe Data</t>
  </si>
  <si>
    <t>Inner Diameter</t>
  </si>
  <si>
    <t>mm</t>
  </si>
  <si>
    <t>inch</t>
  </si>
  <si>
    <t>Length</t>
  </si>
  <si>
    <t>m</t>
  </si>
  <si>
    <t>foot</t>
  </si>
  <si>
    <t>Fluid Data</t>
  </si>
  <si>
    <t>bar</t>
  </si>
  <si>
    <t>Flowrate</t>
  </si>
  <si>
    <t>Kg/h</t>
  </si>
  <si>
    <t>lb/h</t>
  </si>
  <si>
    <t>Density</t>
  </si>
  <si>
    <r>
      <t>Kg/m</t>
    </r>
    <r>
      <rPr>
        <vertAlign val="superscript"/>
        <sz val="11"/>
        <color rgb="FF7030A0"/>
        <rFont val="Calibri"/>
        <family val="2"/>
        <scheme val="minor"/>
      </rPr>
      <t>3</t>
    </r>
  </si>
  <si>
    <r>
      <t>lb/ft</t>
    </r>
    <r>
      <rPr>
        <vertAlign val="superscript"/>
        <sz val="11"/>
        <color rgb="FF7030A0"/>
        <rFont val="Calibri"/>
        <family val="2"/>
        <scheme val="minor"/>
      </rPr>
      <t>3</t>
    </r>
  </si>
  <si>
    <t>Pressure Drop</t>
  </si>
  <si>
    <t>Fitting Losses, K</t>
  </si>
  <si>
    <t>Result</t>
  </si>
  <si>
    <t>Cross Sectional Area of Pipe</t>
  </si>
  <si>
    <r>
      <t>m</t>
    </r>
    <r>
      <rPr>
        <vertAlign val="superscript"/>
        <sz val="11"/>
        <color rgb="FF7030A0"/>
        <rFont val="Calibri"/>
        <family val="2"/>
        <scheme val="minor"/>
      </rPr>
      <t>2</t>
    </r>
  </si>
  <si>
    <t>Fluid Velocity</t>
  </si>
  <si>
    <t>m/s</t>
  </si>
  <si>
    <t>Reynold's Number</t>
  </si>
  <si>
    <t>Volumetric flowrate</t>
  </si>
  <si>
    <r>
      <t>m</t>
    </r>
    <r>
      <rPr>
        <vertAlign val="superscript"/>
        <sz val="11"/>
        <color rgb="FF7030A0"/>
        <rFont val="Calibri"/>
        <family val="2"/>
        <scheme val="minor"/>
      </rPr>
      <t>3</t>
    </r>
    <r>
      <rPr>
        <sz val="11"/>
        <color rgb="FF7030A0"/>
        <rFont val="Calibri"/>
        <family val="2"/>
        <scheme val="minor"/>
      </rPr>
      <t>/h</t>
    </r>
  </si>
  <si>
    <t>Iteration</t>
  </si>
  <si>
    <t>f</t>
  </si>
  <si>
    <t>Fricion factor</t>
  </si>
  <si>
    <t>Net Length</t>
  </si>
  <si>
    <t>Equivalent length for fitting</t>
  </si>
  <si>
    <t>US gpm</t>
  </si>
  <si>
    <r>
      <t>ft</t>
    </r>
    <r>
      <rPr>
        <vertAlign val="superscript"/>
        <sz val="11"/>
        <color rgb="FF7030A0"/>
        <rFont val="Calibri"/>
        <family val="2"/>
        <scheme val="minor"/>
      </rPr>
      <t>2</t>
    </r>
  </si>
  <si>
    <t>ft/s</t>
  </si>
  <si>
    <t>ft</t>
  </si>
  <si>
    <t>psi</t>
  </si>
  <si>
    <t>Non-Newtonian (Bingham Plastic) Flow in Horizontal Pipe</t>
  </si>
  <si>
    <r>
      <t xml:space="preserve">Minimum Yield Stress, </t>
    </r>
    <r>
      <rPr>
        <sz val="11"/>
        <color theme="1"/>
        <rFont val="Calibri"/>
        <family val="2"/>
      </rPr>
      <t>τ</t>
    </r>
    <r>
      <rPr>
        <vertAlign val="subscript"/>
        <sz val="11"/>
        <color theme="1"/>
        <rFont val="Calibri"/>
        <family val="2"/>
      </rPr>
      <t>o</t>
    </r>
  </si>
  <si>
    <r>
      <t>N</t>
    </r>
    <r>
      <rPr>
        <sz val="11"/>
        <color rgb="FF7030A0"/>
        <rFont val="Calibri"/>
        <family val="2"/>
        <scheme val="minor"/>
      </rPr>
      <t>/m</t>
    </r>
    <r>
      <rPr>
        <vertAlign val="superscript"/>
        <sz val="11"/>
        <color rgb="FF7030A0"/>
        <rFont val="Calibri"/>
        <family val="2"/>
        <scheme val="minor"/>
      </rPr>
      <t>2</t>
    </r>
  </si>
  <si>
    <r>
      <t xml:space="preserve">Plastic viscosity, </t>
    </r>
    <r>
      <rPr>
        <sz val="11"/>
        <color theme="1"/>
        <rFont val="Calibri"/>
        <family val="2"/>
      </rPr>
      <t>η</t>
    </r>
    <r>
      <rPr>
        <vertAlign val="subscript"/>
        <sz val="11"/>
        <color theme="1"/>
        <rFont val="Calibri"/>
        <family val="2"/>
      </rPr>
      <t>p</t>
    </r>
  </si>
  <si>
    <t>Hedstrom Number, He</t>
  </si>
  <si>
    <t>Reynold's Number, Re</t>
  </si>
  <si>
    <t>Laminar friction factor</t>
  </si>
  <si>
    <t>f Laminar</t>
  </si>
  <si>
    <t>Hedstrom Number</t>
  </si>
  <si>
    <t>Calculation for Friction factor</t>
  </si>
  <si>
    <t>Laminar friction factor , f_Laminar</t>
  </si>
  <si>
    <t>Turbulent friction factor , f_T</t>
  </si>
  <si>
    <t>a</t>
  </si>
  <si>
    <t>Turbulent friction factor</t>
  </si>
  <si>
    <t>Combined friction factor, f</t>
  </si>
  <si>
    <r>
      <t>lbf.s/ft</t>
    </r>
    <r>
      <rPr>
        <vertAlign val="superscript"/>
        <sz val="11"/>
        <color rgb="FF7030A0"/>
        <rFont val="Calibri"/>
        <family val="2"/>
        <scheme val="minor"/>
      </rPr>
      <t>2</t>
    </r>
  </si>
  <si>
    <r>
      <t>lbf/ft</t>
    </r>
    <r>
      <rPr>
        <vertAlign val="superscript"/>
        <sz val="11"/>
        <color rgb="FF7030A0"/>
        <rFont val="Calibri"/>
        <family val="2"/>
        <scheme val="minor"/>
      </rPr>
      <t>2</t>
    </r>
  </si>
  <si>
    <r>
      <t>N.s/m</t>
    </r>
    <r>
      <rPr>
        <vertAlign val="superscript"/>
        <sz val="11"/>
        <color rgb="FF7030A0"/>
        <rFont val="Calibri"/>
        <family val="2"/>
        <scheme val="minor"/>
      </rPr>
      <t>2</t>
    </r>
  </si>
  <si>
    <t>Chemical Engineer's Guide</t>
  </si>
  <si>
    <t>CheGuide.com</t>
  </si>
  <si>
    <t>25-Aug-15</t>
  </si>
  <si>
    <t>CheGuide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</si>
</sst>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[$-14009]dd/mm/yy;@"/>
    <numFmt numFmtId="166" formatCode="0.00000"/>
    <numFmt numFmtId="167" formatCode="0.0"/>
    <numFmt numFmtId="168" formatCode="0.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vertAlign val="superscript"/>
      <sz val="11"/>
      <color rgb="FF7030A0"/>
      <name val="Calibri"/>
      <family val="2"/>
      <scheme val="minor"/>
    </font>
    <font>
      <b/>
      <i/>
      <sz val="14"/>
      <color theme="3" tint="0.3999755851924192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/>
      <right/>
      <top/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145481734672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164" fontId="2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horizontal="center" vertical="center"/>
    </xf>
    <xf numFmtId="164" fontId="0" fillId="0" borderId="0" xfId="0" applyNumberFormat="1" applyProtection="1"/>
    <xf numFmtId="164" fontId="4" fillId="0" borderId="0" xfId="0" applyNumberFormat="1" applyFont="1" applyBorder="1" applyProtection="1"/>
    <xf numFmtId="164" fontId="4" fillId="2" borderId="1" xfId="0" applyNumberFormat="1" applyFont="1" applyFill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Protection="1"/>
    <xf numFmtId="165" fontId="4" fillId="2" borderId="2" xfId="0" applyNumberFormat="1" applyFont="1" applyFill="1" applyBorder="1" applyAlignment="1" applyProtection="1">
      <alignment horizontal="left"/>
      <protection locked="0"/>
    </xf>
    <xf numFmtId="164" fontId="6" fillId="0" borderId="0" xfId="0" applyNumberFormat="1" applyFont="1" applyAlignment="1">
      <alignment horizontal="right" wrapText="1"/>
    </xf>
    <xf numFmtId="164" fontId="4" fillId="2" borderId="3" xfId="0" applyNumberFormat="1" applyFont="1" applyFill="1" applyBorder="1" applyAlignment="1" applyProtection="1">
      <protection locked="0"/>
    </xf>
    <xf numFmtId="164" fontId="0" fillId="0" borderId="0" xfId="0" applyNumberFormat="1" applyAlignment="1">
      <alignment wrapText="1"/>
    </xf>
    <xf numFmtId="164" fontId="4" fillId="2" borderId="4" xfId="0" applyNumberFormat="1" applyFont="1" applyFill="1" applyBorder="1" applyAlignment="1" applyProtection="1">
      <alignment horizontal="left"/>
      <protection locked="0"/>
    </xf>
    <xf numFmtId="164" fontId="4" fillId="2" borderId="5" xfId="0" applyNumberFormat="1" applyFont="1" applyFill="1" applyBorder="1" applyAlignment="1" applyProtection="1">
      <alignment horizontal="left"/>
      <protection locked="0"/>
    </xf>
    <xf numFmtId="165" fontId="4" fillId="2" borderId="1" xfId="0" quotePrefix="1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8" fillId="0" borderId="0" xfId="0" applyFont="1"/>
    <xf numFmtId="0" fontId="1" fillId="0" borderId="0" xfId="0" applyFont="1"/>
    <xf numFmtId="0" fontId="9" fillId="0" borderId="0" xfId="0" applyFont="1" applyBorder="1" applyAlignment="1">
      <alignment horizontal="left"/>
    </xf>
    <xf numFmtId="164" fontId="0" fillId="3" borderId="6" xfId="0" applyNumberFormat="1" applyFill="1" applyBorder="1"/>
    <xf numFmtId="167" fontId="0" fillId="2" borderId="8" xfId="0" applyNumberFormat="1" applyFont="1" applyFill="1" applyBorder="1" applyAlignment="1" applyProtection="1">
      <protection locked="0"/>
    </xf>
    <xf numFmtId="2" fontId="0" fillId="3" borderId="7" xfId="0" applyNumberFormat="1" applyFill="1" applyBorder="1"/>
    <xf numFmtId="2" fontId="0" fillId="2" borderId="3" xfId="0" applyNumberFormat="1" applyFont="1" applyFill="1" applyBorder="1" applyAlignment="1" applyProtection="1">
      <protection locked="0"/>
    </xf>
    <xf numFmtId="2" fontId="0" fillId="3" borderId="6" xfId="0" applyNumberFormat="1" applyFill="1" applyBorder="1"/>
    <xf numFmtId="1" fontId="0" fillId="2" borderId="3" xfId="0" applyNumberFormat="1" applyFont="1" applyFill="1" applyBorder="1" applyAlignment="1" applyProtection="1">
      <protection locked="0"/>
    </xf>
    <xf numFmtId="1" fontId="0" fillId="3" borderId="6" xfId="0" applyNumberFormat="1" applyFill="1" applyBorder="1"/>
    <xf numFmtId="167" fontId="0" fillId="3" borderId="7" xfId="0" applyNumberFormat="1" applyFill="1" applyBorder="1"/>
    <xf numFmtId="164" fontId="0" fillId="3" borderId="7" xfId="0" applyNumberFormat="1" applyFill="1" applyBorder="1"/>
    <xf numFmtId="1" fontId="0" fillId="3" borderId="7" xfId="0" applyNumberFormat="1" applyFill="1" applyBorder="1"/>
    <xf numFmtId="168" fontId="0" fillId="3" borderId="7" xfId="0" applyNumberFormat="1" applyFill="1" applyBorder="1"/>
    <xf numFmtId="1" fontId="0" fillId="0" borderId="0" xfId="0" applyNumberFormat="1"/>
    <xf numFmtId="0" fontId="4" fillId="0" borderId="0" xfId="0" applyFont="1"/>
    <xf numFmtId="166" fontId="0" fillId="0" borderId="0" xfId="0" applyNumberFormat="1"/>
    <xf numFmtId="168" fontId="0" fillId="0" borderId="0" xfId="0" applyNumberFormat="1"/>
    <xf numFmtId="168" fontId="0" fillId="2" borderId="3" xfId="0" applyNumberFormat="1" applyFont="1" applyFill="1" applyBorder="1" applyAlignment="1" applyProtection="1">
      <protection locked="0"/>
    </xf>
    <xf numFmtId="0" fontId="14" fillId="0" borderId="0" xfId="0" applyFont="1"/>
    <xf numFmtId="11" fontId="0" fillId="3" borderId="7" xfId="0" applyNumberFormat="1" applyFill="1" applyBorder="1"/>
    <xf numFmtId="11" fontId="0" fillId="0" borderId="0" xfId="0" applyNumberFormat="1"/>
    <xf numFmtId="164" fontId="3" fillId="0" borderId="0" xfId="1" applyNumberFormat="1" applyProtection="1"/>
    <xf numFmtId="164" fontId="2" fillId="0" borderId="0" xfId="0" applyNumberFormat="1" applyFont="1" applyAlignment="1" applyProtection="1">
      <alignment horizontal="center" vertical="center"/>
    </xf>
    <xf numFmtId="164" fontId="11" fillId="0" borderId="0" xfId="0" applyNumberFormat="1" applyFont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T59"/>
  <sheetViews>
    <sheetView showGridLines="0" tabSelected="1" zoomScaleNormal="100" workbookViewId="0">
      <selection activeCell="I7" sqref="I7"/>
    </sheetView>
  </sheetViews>
  <sheetFormatPr defaultRowHeight="14.4" x14ac:dyDescent="0.3"/>
  <cols>
    <col min="1" max="1" width="2.6640625" customWidth="1"/>
    <col min="3" max="3" width="9.33203125" bestFit="1" customWidth="1"/>
    <col min="4" max="4" width="14.44140625" bestFit="1" customWidth="1"/>
    <col min="5" max="5" width="10.6640625" bestFit="1" customWidth="1"/>
    <col min="6" max="10" width="9.33203125" bestFit="1" customWidth="1"/>
  </cols>
  <sheetData>
    <row r="1" spans="2:10" x14ac:dyDescent="0.3">
      <c r="B1" s="1"/>
      <c r="C1" s="1"/>
      <c r="D1" s="1"/>
      <c r="E1" s="1"/>
      <c r="F1" s="1"/>
      <c r="G1" s="1"/>
      <c r="H1" s="1"/>
    </row>
    <row r="2" spans="2:10" ht="18" x14ac:dyDescent="0.3">
      <c r="B2" s="40" t="s">
        <v>44</v>
      </c>
      <c r="C2" s="40"/>
      <c r="D2" s="40"/>
      <c r="E2" s="40"/>
      <c r="F2" s="40"/>
      <c r="G2" s="40"/>
      <c r="H2" s="40"/>
      <c r="I2" s="40"/>
      <c r="J2" s="2"/>
    </row>
    <row r="3" spans="2:10" ht="15.75" customHeight="1" x14ac:dyDescent="0.3">
      <c r="B3" s="3"/>
      <c r="C3" s="41"/>
      <c r="D3" s="41"/>
      <c r="E3" s="41"/>
      <c r="F3" s="41"/>
      <c r="G3" s="41"/>
      <c r="H3" s="41"/>
      <c r="I3" s="3"/>
      <c r="J3" s="2"/>
    </row>
    <row r="4" spans="2:10" x14ac:dyDescent="0.3">
      <c r="B4" s="39" t="s">
        <v>63</v>
      </c>
      <c r="C4" s="4"/>
      <c r="D4" s="4"/>
      <c r="E4" s="4"/>
      <c r="G4" s="5" t="s">
        <v>0</v>
      </c>
      <c r="I4" s="6" t="s">
        <v>1</v>
      </c>
      <c r="J4" s="7"/>
    </row>
    <row r="5" spans="2:10" ht="15" customHeight="1" x14ac:dyDescent="0.3">
      <c r="B5" s="8" t="s">
        <v>62</v>
      </c>
      <c r="C5" s="4"/>
      <c r="D5" s="4"/>
      <c r="E5" s="4"/>
      <c r="G5" s="5" t="s">
        <v>2</v>
      </c>
      <c r="I5" s="6" t="s">
        <v>3</v>
      </c>
      <c r="J5" s="7"/>
    </row>
    <row r="6" spans="2:10" ht="15" customHeight="1" x14ac:dyDescent="0.3">
      <c r="B6" s="4"/>
      <c r="C6" s="4"/>
      <c r="D6" s="4"/>
      <c r="E6" s="4"/>
      <c r="G6" s="5" t="s">
        <v>4</v>
      </c>
      <c r="I6" s="15" t="s">
        <v>64</v>
      </c>
      <c r="J6" s="9"/>
    </row>
    <row r="7" spans="2:10" ht="15" customHeight="1" x14ac:dyDescent="0.3">
      <c r="B7" s="10" t="s">
        <v>5</v>
      </c>
      <c r="C7" s="11"/>
      <c r="D7" s="12"/>
      <c r="E7" s="12"/>
      <c r="G7" s="5" t="s">
        <v>6</v>
      </c>
      <c r="I7" s="13" t="s">
        <v>65</v>
      </c>
      <c r="J7" s="14"/>
    </row>
    <row r="8" spans="2:10" ht="15" customHeight="1" x14ac:dyDescent="0.3"/>
    <row r="9" spans="2:10" ht="15" customHeight="1" x14ac:dyDescent="0.3">
      <c r="E9" s="16" t="s">
        <v>7</v>
      </c>
      <c r="F9" s="17"/>
      <c r="G9" s="17"/>
      <c r="H9" s="16" t="s">
        <v>8</v>
      </c>
    </row>
    <row r="10" spans="2:10" ht="15" customHeight="1" x14ac:dyDescent="0.3">
      <c r="B10" s="18" t="s">
        <v>9</v>
      </c>
    </row>
    <row r="11" spans="2:10" x14ac:dyDescent="0.3">
      <c r="B11" t="s">
        <v>10</v>
      </c>
      <c r="E11" s="23">
        <v>40</v>
      </c>
      <c r="F11" s="19" t="s">
        <v>11</v>
      </c>
      <c r="H11" s="20">
        <f>E11/25.4</f>
        <v>1.5748031496062993</v>
      </c>
      <c r="I11" s="19" t="s">
        <v>12</v>
      </c>
    </row>
    <row r="12" spans="2:10" x14ac:dyDescent="0.3">
      <c r="B12" t="s">
        <v>13</v>
      </c>
      <c r="E12" s="21">
        <v>10</v>
      </c>
      <c r="F12" s="19" t="s">
        <v>14</v>
      </c>
      <c r="H12" s="22">
        <f>E12/0.3048</f>
        <v>32.808398950131235</v>
      </c>
      <c r="I12" s="19" t="s">
        <v>15</v>
      </c>
    </row>
    <row r="13" spans="2:10" x14ac:dyDescent="0.3">
      <c r="B13" t="s">
        <v>25</v>
      </c>
      <c r="E13" s="21">
        <v>1.8</v>
      </c>
      <c r="F13" s="19"/>
      <c r="H13" s="27">
        <f>E13</f>
        <v>1.8</v>
      </c>
      <c r="I13" s="19"/>
    </row>
    <row r="15" spans="2:10" x14ac:dyDescent="0.3">
      <c r="B15" s="18" t="s">
        <v>16</v>
      </c>
    </row>
    <row r="16" spans="2:10" x14ac:dyDescent="0.3">
      <c r="B16" t="s">
        <v>18</v>
      </c>
      <c r="E16" s="25">
        <f>4*3600</f>
        <v>14400</v>
      </c>
      <c r="F16" s="19" t="s">
        <v>19</v>
      </c>
      <c r="H16" s="26">
        <f>E16*2.2046226</f>
        <v>31746.565439999998</v>
      </c>
      <c r="I16" s="19" t="s">
        <v>20</v>
      </c>
    </row>
    <row r="17" spans="2:9" ht="16.2" x14ac:dyDescent="0.3">
      <c r="B17" t="s">
        <v>21</v>
      </c>
      <c r="E17" s="25">
        <v>1666</v>
      </c>
      <c r="F17" s="19" t="s">
        <v>22</v>
      </c>
      <c r="H17" s="22">
        <f>E17/16.018463</f>
        <v>104.00498474791245</v>
      </c>
      <c r="I17" s="19" t="s">
        <v>23</v>
      </c>
    </row>
    <row r="18" spans="2:9" ht="16.8" x14ac:dyDescent="0.35">
      <c r="B18" t="s">
        <v>45</v>
      </c>
      <c r="E18" s="23">
        <v>3.6</v>
      </c>
      <c r="F18" s="19" t="s">
        <v>46</v>
      </c>
      <c r="H18" s="30">
        <f>E18*0.020885434</f>
        <v>7.5187562400000005E-2</v>
      </c>
      <c r="I18" s="19" t="s">
        <v>60</v>
      </c>
    </row>
    <row r="19" spans="2:9" ht="16.8" x14ac:dyDescent="0.35">
      <c r="B19" t="s">
        <v>47</v>
      </c>
      <c r="E19" s="35">
        <v>2.8999999999999998E-3</v>
      </c>
      <c r="F19" s="19" t="s">
        <v>61</v>
      </c>
      <c r="H19" s="37">
        <f>E19*0.020885434</f>
        <v>6.0567758600000001E-5</v>
      </c>
      <c r="I19" s="19" t="s">
        <v>59</v>
      </c>
    </row>
    <row r="21" spans="2:9" x14ac:dyDescent="0.3">
      <c r="B21" s="18" t="s">
        <v>26</v>
      </c>
    </row>
    <row r="22" spans="2:9" ht="16.2" x14ac:dyDescent="0.3">
      <c r="B22" t="s">
        <v>32</v>
      </c>
      <c r="E22" s="24">
        <f>E16/E17</f>
        <v>8.6434573829531818</v>
      </c>
      <c r="F22" s="19" t="s">
        <v>33</v>
      </c>
      <c r="H22" s="24">
        <f>E22*4.4028675</f>
        <v>38.055997599039621</v>
      </c>
      <c r="I22" s="19" t="s">
        <v>39</v>
      </c>
    </row>
    <row r="23" spans="2:9" ht="16.2" x14ac:dyDescent="0.3">
      <c r="B23" t="s">
        <v>27</v>
      </c>
      <c r="E23" s="30">
        <f>PI()*(E11/2000)^2</f>
        <v>1.2566370614359172E-3</v>
      </c>
      <c r="F23" s="19" t="s">
        <v>28</v>
      </c>
      <c r="H23" s="30">
        <f>E23/0.3048^2</f>
        <v>1.3526328755613564E-2</v>
      </c>
      <c r="I23" s="19" t="s">
        <v>40</v>
      </c>
    </row>
    <row r="24" spans="2:9" x14ac:dyDescent="0.3">
      <c r="B24" t="s">
        <v>29</v>
      </c>
      <c r="E24" s="22">
        <f>E22/E23/3600</f>
        <v>1.9106235665293561</v>
      </c>
      <c r="F24" s="19" t="s">
        <v>30</v>
      </c>
      <c r="H24" s="22">
        <f>E24/0.3048</f>
        <v>6.2684500214217715</v>
      </c>
      <c r="I24" s="19" t="s">
        <v>41</v>
      </c>
    </row>
    <row r="25" spans="2:9" x14ac:dyDescent="0.3">
      <c r="B25" t="s">
        <v>49</v>
      </c>
      <c r="E25" s="29">
        <f>(E11/1000)*E24*E17/E19</f>
        <v>43904.811887419419</v>
      </c>
      <c r="F25" s="19"/>
      <c r="H25" s="29">
        <f>E25</f>
        <v>43904.811887419419</v>
      </c>
      <c r="I25" s="19"/>
    </row>
    <row r="26" spans="2:9" x14ac:dyDescent="0.3">
      <c r="B26" t="s">
        <v>48</v>
      </c>
      <c r="E26" s="29">
        <f>(E11/1000)^2*E17*E18/E19^2</f>
        <v>1141041.6171224732</v>
      </c>
      <c r="F26" s="19"/>
      <c r="H26" s="29">
        <f>E26</f>
        <v>1141041.6171224732</v>
      </c>
      <c r="I26" s="19"/>
    </row>
    <row r="27" spans="2:9" x14ac:dyDescent="0.3">
      <c r="B27" t="s">
        <v>36</v>
      </c>
      <c r="E27" s="30">
        <f>C59</f>
        <v>4.4780697370497132E-3</v>
      </c>
      <c r="H27" s="30">
        <f>E27</f>
        <v>4.4780697370497132E-3</v>
      </c>
    </row>
    <row r="28" spans="2:9" x14ac:dyDescent="0.3">
      <c r="B28" t="s">
        <v>38</v>
      </c>
      <c r="E28" s="22">
        <f>E13*(E11/1000)/(4*E27)</f>
        <v>4.0195890320946503</v>
      </c>
      <c r="F28" s="19" t="s">
        <v>14</v>
      </c>
      <c r="H28" s="22">
        <f>E28/0.3048</f>
        <v>13.187628058053313</v>
      </c>
      <c r="I28" s="19" t="s">
        <v>42</v>
      </c>
    </row>
    <row r="29" spans="2:9" x14ac:dyDescent="0.3">
      <c r="B29" t="s">
        <v>37</v>
      </c>
      <c r="E29" s="22">
        <f>E28+E12</f>
        <v>14.01958903209465</v>
      </c>
      <c r="F29" s="19" t="s">
        <v>14</v>
      </c>
      <c r="H29" s="22">
        <f>E29/0.3048</f>
        <v>45.996027008184548</v>
      </c>
      <c r="I29" s="19" t="s">
        <v>42</v>
      </c>
    </row>
    <row r="30" spans="2:9" x14ac:dyDescent="0.3">
      <c r="B30" t="s">
        <v>24</v>
      </c>
      <c r="E30" s="28">
        <f>2*E27*E17*E24^2*E29/(E11/1000)/100000</f>
        <v>0.19090679974400279</v>
      </c>
      <c r="F30" s="19" t="s">
        <v>17</v>
      </c>
      <c r="H30" s="22">
        <f>E30*14.503774</f>
        <v>2.7688690785502743</v>
      </c>
      <c r="I30" s="19" t="s">
        <v>43</v>
      </c>
    </row>
    <row r="34" spans="2:72" x14ac:dyDescent="0.3">
      <c r="B34" s="18" t="s">
        <v>53</v>
      </c>
    </row>
    <row r="35" spans="2:72" x14ac:dyDescent="0.3">
      <c r="B35" t="s">
        <v>31</v>
      </c>
      <c r="D35" s="31">
        <f>E25</f>
        <v>43904.811887419419</v>
      </c>
      <c r="G35" s="32"/>
    </row>
    <row r="36" spans="2:72" x14ac:dyDescent="0.3">
      <c r="B36" t="s">
        <v>52</v>
      </c>
      <c r="D36" s="31">
        <f>E26</f>
        <v>1141041.6171224732</v>
      </c>
      <c r="G36" s="32"/>
    </row>
    <row r="37" spans="2:72" x14ac:dyDescent="0.3">
      <c r="D37" s="31"/>
      <c r="G37" s="32"/>
    </row>
    <row r="38" spans="2:72" x14ac:dyDescent="0.3">
      <c r="B38" s="36" t="s">
        <v>54</v>
      </c>
      <c r="D38" s="31"/>
      <c r="G38" s="32"/>
    </row>
    <row r="39" spans="2:72" x14ac:dyDescent="0.3">
      <c r="B39" t="s">
        <v>51</v>
      </c>
      <c r="D39" s="34">
        <f>16/D35</f>
        <v>3.6442474781641591E-4</v>
      </c>
      <c r="G39" s="32"/>
    </row>
    <row r="40" spans="2:72" x14ac:dyDescent="0.3">
      <c r="B40" t="s">
        <v>34</v>
      </c>
      <c r="C40">
        <v>1</v>
      </c>
      <c r="D40">
        <v>2</v>
      </c>
      <c r="E40">
        <v>3</v>
      </c>
      <c r="F40">
        <v>4</v>
      </c>
      <c r="G40">
        <v>5</v>
      </c>
      <c r="H40">
        <v>6</v>
      </c>
      <c r="I40">
        <v>7</v>
      </c>
      <c r="J40">
        <v>8</v>
      </c>
    </row>
    <row r="41" spans="2:72" x14ac:dyDescent="0.3">
      <c r="B41" t="s">
        <v>35</v>
      </c>
      <c r="C41" s="34">
        <f>D39</f>
        <v>3.6442474781641591E-4</v>
      </c>
      <c r="D41" s="38">
        <f t="shared" ref="D41:J41" si="0">(16/$D$35)*(1+(1/6)*($D$36/$D$35)-(1/3)*($D$36^4/(C41^3*$D$35^7)))</f>
        <v>-1.1586643975678931E-2</v>
      </c>
      <c r="E41" s="34">
        <f t="shared" si="0"/>
        <v>1.943350751379376E-3</v>
      </c>
      <c r="F41" s="34">
        <f t="shared" si="0"/>
        <v>1.8537114604757544E-3</v>
      </c>
      <c r="G41" s="34">
        <f t="shared" si="0"/>
        <v>1.8401325948145934E-3</v>
      </c>
      <c r="H41" s="34">
        <f t="shared" si="0"/>
        <v>1.8378400503576055E-3</v>
      </c>
      <c r="I41" s="34">
        <f t="shared" si="0"/>
        <v>1.8374462888243201E-3</v>
      </c>
      <c r="J41" s="34">
        <f t="shared" si="0"/>
        <v>1.8373784594953025E-3</v>
      </c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3" spans="2:72" x14ac:dyDescent="0.3">
      <c r="B43" t="s">
        <v>34</v>
      </c>
      <c r="C43">
        <v>9</v>
      </c>
      <c r="D43">
        <v>10</v>
      </c>
      <c r="E43">
        <v>11</v>
      </c>
      <c r="F43">
        <v>12</v>
      </c>
      <c r="G43">
        <v>13</v>
      </c>
      <c r="H43">
        <v>14</v>
      </c>
      <c r="I43">
        <v>15</v>
      </c>
      <c r="J43">
        <v>16</v>
      </c>
    </row>
    <row r="44" spans="2:72" x14ac:dyDescent="0.3">
      <c r="C44" s="34">
        <f>(16/$D$35)*(1+(1/6)*($D$36/$D$35)-(1/3)*($D$36^4/(J41^3*$D$35^7)))</f>
        <v>1.83736676934945E-3</v>
      </c>
      <c r="D44" s="34">
        <f>(16/$D$35)*(1+(1/6)*($D$36/$D$35)-(1/3)*($D$36^4/(C44^3*$D$35^7)))</f>
        <v>1.8373647544196077E-3</v>
      </c>
      <c r="E44" s="34">
        <f>(16/$D$35)*(1+(1/6)*($D$36/$D$35)-(1/3)*($D$36^4/(D44^3*$D$35^7)))</f>
        <v>1.8373644071183087E-3</v>
      </c>
      <c r="F44" s="34">
        <f t="shared" ref="F44:I44" si="1">(16/$D$35)*(1+(1/6)*($D$36/$D$35)-(1/3)*($D$36^4/(E44^3*$D$35^7)))</f>
        <v>1.8373643472559256E-3</v>
      </c>
      <c r="G44" s="34">
        <f t="shared" si="1"/>
        <v>1.8373643369377767E-3</v>
      </c>
      <c r="H44" s="34">
        <f t="shared" si="1"/>
        <v>1.8373643351592942E-3</v>
      </c>
      <c r="I44" s="34">
        <f t="shared" si="1"/>
        <v>1.8373643348527468E-3</v>
      </c>
      <c r="J44" s="34">
        <f>(16/$D$35)*(1+(1/6)*($D$36/$D$35)-(1/3)*($D$36^4/(I44^3*$D$35^7)))</f>
        <v>1.8373643347999089E-3</v>
      </c>
    </row>
    <row r="46" spans="2:72" x14ac:dyDescent="0.3">
      <c r="B46" t="s">
        <v>34</v>
      </c>
      <c r="C46">
        <v>17</v>
      </c>
      <c r="D46">
        <v>18</v>
      </c>
      <c r="E46">
        <v>19</v>
      </c>
      <c r="F46">
        <v>20</v>
      </c>
      <c r="G46">
        <v>21</v>
      </c>
      <c r="H46">
        <v>22</v>
      </c>
      <c r="I46">
        <v>23</v>
      </c>
      <c r="J46">
        <v>24</v>
      </c>
    </row>
    <row r="47" spans="2:72" x14ac:dyDescent="0.3">
      <c r="C47" s="34">
        <f>(16/$D$35)*(1+(1/6)*($D$36/$D$35)-(1/3)*($D$36^4/(J44^3*$D$35^7)))</f>
        <v>1.8373643347908016E-3</v>
      </c>
      <c r="D47" s="34">
        <f>(16/$D$35)*(1+(1/6)*($D$36/$D$35)-(1/3)*($D$36^4/(C47^3*$D$35^7)))</f>
        <v>1.8373643347892319E-3</v>
      </c>
      <c r="E47" s="34">
        <f>(16/$D$35)*(1+(1/6)*($D$36/$D$35)-(1/3)*($D$36^4/(D47^3*$D$35^7)))</f>
        <v>1.8373643347889613E-3</v>
      </c>
      <c r="F47" s="34">
        <f t="shared" ref="F47:I47" si="2">(16/$D$35)*(1+(1/6)*($D$36/$D$35)-(1/3)*($D$36^4/(E47^3*$D$35^7)))</f>
        <v>1.8373643347889147E-3</v>
      </c>
      <c r="G47" s="34">
        <f t="shared" si="2"/>
        <v>1.8373643347889066E-3</v>
      </c>
      <c r="H47" s="34">
        <f t="shared" si="2"/>
        <v>1.8373643347889053E-3</v>
      </c>
      <c r="I47" s="34">
        <f t="shared" si="2"/>
        <v>1.8373643347889049E-3</v>
      </c>
      <c r="J47" s="34">
        <f t="shared" ref="J47" si="3">(16/$D$35)*(1+(1/6)*($D$36/$D$35)-(1/3)*($D$36^4/(I47^3*$D$35^7)))</f>
        <v>1.8373643347889049E-3</v>
      </c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</row>
    <row r="49" spans="2:5" x14ac:dyDescent="0.3">
      <c r="B49" t="s">
        <v>50</v>
      </c>
      <c r="E49" s="33">
        <f>J47</f>
        <v>1.8373643347889049E-3</v>
      </c>
    </row>
    <row r="51" spans="2:5" x14ac:dyDescent="0.3">
      <c r="B51" s="36" t="s">
        <v>55</v>
      </c>
    </row>
    <row r="53" spans="2:5" x14ac:dyDescent="0.3">
      <c r="B53" t="s">
        <v>56</v>
      </c>
      <c r="C53">
        <f>-1.47*(1+0.146*EXP(-0.000029*D36))</f>
        <v>-1.4700000000000009</v>
      </c>
    </row>
    <row r="54" spans="2:5" x14ac:dyDescent="0.3">
      <c r="B54" t="s">
        <v>57</v>
      </c>
      <c r="E54">
        <f>10^C53/D35^0.193</f>
        <v>4.3052181320163739E-3</v>
      </c>
    </row>
    <row r="56" spans="2:5" x14ac:dyDescent="0.3">
      <c r="B56" s="36" t="s">
        <v>58</v>
      </c>
    </row>
    <row r="58" spans="2:5" x14ac:dyDescent="0.3">
      <c r="B58" t="s">
        <v>14</v>
      </c>
      <c r="C58">
        <f>1.7+40000/D35</f>
        <v>2.6110618695410395</v>
      </c>
    </row>
    <row r="59" spans="2:5" x14ac:dyDescent="0.3">
      <c r="B59" t="s">
        <v>35</v>
      </c>
      <c r="C59">
        <f>(E49^C58+E54^C58)^(1/C58)</f>
        <v>4.4780697370497132E-3</v>
      </c>
    </row>
  </sheetData>
  <mergeCells count="2">
    <mergeCell ref="B2:I2"/>
    <mergeCell ref="C3:H3"/>
  </mergeCells>
  <hyperlinks>
    <hyperlink ref="B4" r:id="rId1" xr:uid="{00000000-0004-0000-0000-000000000000}"/>
  </hyperlinks>
  <pageMargins left="0.7" right="0.7" top="0.75" bottom="0.75" header="0.3" footer="0.3"/>
  <pageSetup paperSize="9" scale="94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Bingham Plastic</vt:lpstr>
      <vt:lpstr>'Bingham Plastic'!Yazdırma_Alanı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serdar Uzgur</cp:lastModifiedBy>
  <dcterms:created xsi:type="dcterms:W3CDTF">2015-04-03T06:27:48Z</dcterms:created>
  <dcterms:modified xsi:type="dcterms:W3CDTF">2022-03-12T08:25:44Z</dcterms:modified>
</cp:coreProperties>
</file>